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'Foaie1'!$A$1:$AB$49</definedName>
  </definedNames>
  <calcPr fullCalcOnLoad="1"/>
</workbook>
</file>

<file path=xl/sharedStrings.xml><?xml version="1.0" encoding="utf-8"?>
<sst xmlns="http://schemas.openxmlformats.org/spreadsheetml/2006/main" count="71" uniqueCount="71">
  <si>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</si>
  <si>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</si>
  <si>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</si>
  <si>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</si>
  <si>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</si>
  <si>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</si>
  <si>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</si>
  <si>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</si>
  <si>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</si>
  <si>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</si>
  <si>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</si>
  <si>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</si>
  <si>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</si>
  <si>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</si>
  <si>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</si>
  <si>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</si>
  <si>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</si>
  <si>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</si>
  <si>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</si>
  <si>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</si>
  <si>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</si>
  <si>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</si>
  <si>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</si>
  <si>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</si>
  <si>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</si>
  <si>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</si>
  <si>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</si>
  <si>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</si>
  <si>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</si>
  <si>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</si>
  <si>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</si>
  <si>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</si>
  <si>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</si>
  <si>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</si>
  <si>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</si>
  <si>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</si>
  <si>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</si>
  <si>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>SC AVS BALNEO THETAPY SRL</t>
  </si>
  <si>
    <t>ACUPUNCTURA PROCENT DIN RECUPERARE</t>
  </si>
  <si>
    <t>10,3%</t>
  </si>
  <si>
    <t>TOTAL BUGET ALOCAT RECUPERARE SI ACUPUNCTURA AN 2022</t>
  </si>
  <si>
    <t>REPARTIZATA CONFORM PUNCTAJELOR PENTRU FURNIZORII DE SERVICII MEDICALE DE MEDICINA FIZICA SI DE REABILITARE IN BAZELE DE TRATAMENT</t>
  </si>
  <si>
    <t>TOTAL VALOARE CONTRACT PENTRU LUNA APRILIE 2022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</si>
  <si>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</si>
  <si>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</si>
  <si>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</si>
  <si>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</si>
  <si>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TOTAL VALOARE CONTRACT PENTRU PERIOADA MAI-DEC  2022</t>
  </si>
  <si>
    <t>TOTAL  VALOARE CONTRACT RECUPERARE SI ACUPUNCTURA IANUARIE-APRILIE 2022</t>
  </si>
  <si>
    <t>TOTAL VALOARE DISPONIBILA MAI-DEC 2022 DIN BUGETUL ALOCAT PENTRU ANUL 2022</t>
  </si>
  <si>
    <t>TOTAL VAL ACUPUNCTURA AN 2022 -PROCENT 10,3% DIN TOTAL BUGET RECUPERARE AN 2022</t>
  </si>
  <si>
    <t>VALOARE ACUPUNCTURA  IAN-APR 2022</t>
  </si>
  <si>
    <t>VALOARE ACUPUNCTURA PERIOADA MAI-DEC 2022</t>
  </si>
  <si>
    <t xml:space="preserve">TOTAL VALOARE RECUPERARE FARA ACUPUNCTURA AN 2022 </t>
  </si>
  <si>
    <t>VALOARE RECUPERARE PERIOADA MAI-DEC 2022</t>
  </si>
  <si>
    <t>VAL CONTR LUNA IUNIE 2022</t>
  </si>
  <si>
    <t>VAL CONTR LUNA MAI 2022</t>
  </si>
  <si>
    <t>TOTAL VAL CONTR TRIM II 2022 (MAI-IUN 2022)</t>
  </si>
  <si>
    <t xml:space="preserve">TOTAL VAL CONTR TRIM III 2022 </t>
  </si>
  <si>
    <t>VAL CONTR LUNA IULIE 2022</t>
  </si>
  <si>
    <t>VAL CONTR LUNA AUG 2022</t>
  </si>
  <si>
    <t>VAL CONTR LUNA SEP 2022</t>
  </si>
  <si>
    <t xml:space="preserve">TOTAL VAL CONTR TRIM IV 2022 </t>
  </si>
  <si>
    <t>VAL CONTR LUNA OCT 2022</t>
  </si>
  <si>
    <t>VAL CONTR LUNA NOV 2022</t>
  </si>
  <si>
    <t>VAL CONTR LUNA DEC 2022</t>
  </si>
  <si>
    <t>TOTAL VAL CONTR IAN-DEC 2022</t>
  </si>
  <si>
    <t>VAL RECUPERARE IAN-APRILIE 2022</t>
  </si>
  <si>
    <t>VAL PCT APARAT MAI-DEC  2022</t>
  </si>
  <si>
    <t>VAL PCT PERSONAL MAI-DEC 2022</t>
  </si>
  <si>
    <t>SITUATIA  SUMELOR AFERENTE PERIOADEI MAI-DECEMBRIE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</si>
</sst>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="85" zoomScaleNormal="85" zoomScalePageLayoutView="0" workbookViewId="0" topLeftCell="A4">
      <selection activeCell="I43" sqref="I43"/>
    </sheetView>
  </sheetViews>
  <sheetFormatPr defaultColWidth="9.140625" defaultRowHeight="12.75"/>
  <cols>
    <col min="1" max="1" width="9.7109375" style="6" customWidth="1"/>
    <col min="2" max="2" width="33.8515625" style="34" customWidth="1"/>
    <col min="3" max="3" width="13.421875" style="6" customWidth="1"/>
    <col min="4" max="4" width="14.57421875" style="6" customWidth="1"/>
    <col min="5" max="5" width="10.421875" style="6" customWidth="1"/>
    <col min="6" max="6" width="8.57421875" style="6" customWidth="1"/>
    <col min="7" max="7" width="11.00390625" style="6" customWidth="1"/>
    <col min="8" max="8" width="10.7109375" style="6" customWidth="1"/>
    <col min="9" max="9" width="11.421875" style="6" customWidth="1"/>
    <col min="10" max="10" width="11.28125" style="6" customWidth="1"/>
    <col min="11" max="11" width="11.140625" style="6" customWidth="1"/>
    <col min="12" max="12" width="10.421875" style="6" customWidth="1"/>
    <col min="13" max="13" width="13.421875" style="6" customWidth="1"/>
    <col min="14" max="14" width="15.28125" style="6" customWidth="1"/>
    <col min="15" max="15" width="16.421875" style="6" hidden="1" customWidth="1"/>
    <col min="16" max="16" width="15.421875" style="6" customWidth="1"/>
    <col min="17" max="17" width="13.7109375" style="6" customWidth="1"/>
    <col min="18" max="19" width="13.421875" style="6" customWidth="1"/>
    <col min="20" max="20" width="13.7109375" style="6" customWidth="1"/>
    <col min="21" max="21" width="13.140625" style="6" customWidth="1"/>
    <col min="22" max="22" width="13.28125" style="6" customWidth="1"/>
    <col min="23" max="23" width="13.57421875" style="6" customWidth="1"/>
    <col min="24" max="24" width="14.28125" style="6" customWidth="1"/>
    <col min="25" max="25" width="13.7109375" style="6" customWidth="1"/>
    <col min="26" max="26" width="13.140625" style="6" customWidth="1"/>
    <col min="27" max="27" width="15.00390625" style="6" customWidth="1"/>
    <col min="28" max="28" width="15.8515625" style="6" hidden="1" customWidth="1"/>
    <col min="29" max="29" width="15.8515625" style="6" customWidth="1"/>
    <col min="30" max="16384" width="9.140625" style="6" customWidth="1"/>
  </cols>
  <sheetData>
    <row r="1" spans="3:15" ht="14.25">
      <c r="C1" s="16"/>
      <c r="D1" s="16"/>
      <c r="E1" s="16"/>
      <c r="G1" s="16"/>
      <c r="H1" s="16"/>
      <c r="I1" s="16"/>
      <c r="J1" s="16"/>
      <c r="K1" s="16"/>
      <c r="L1" s="16"/>
      <c r="M1" s="16"/>
      <c r="N1" s="16"/>
      <c r="O1" s="16"/>
    </row>
    <row r="2" spans="1:12" s="19" customFormat="1" ht="18">
      <c r="A2" s="16"/>
      <c r="B2" s="34"/>
      <c r="C2" s="27"/>
      <c r="D2" s="6"/>
      <c r="E2" s="6"/>
      <c r="F2" s="6"/>
      <c r="G2" s="6"/>
      <c r="H2" s="17"/>
      <c r="L2" s="45"/>
    </row>
    <row r="3" spans="1:14" ht="15.75">
      <c r="A3" s="19"/>
      <c r="C3" s="43" t="s">
        <v>70</v>
      </c>
      <c r="D3" s="28"/>
      <c r="E3" s="28"/>
      <c r="F3" s="27"/>
      <c r="G3" s="27"/>
      <c r="H3" s="28"/>
      <c r="I3" s="27"/>
      <c r="J3" s="27"/>
      <c r="K3" s="27"/>
      <c r="L3" s="27"/>
      <c r="M3" s="27"/>
      <c r="N3" s="27"/>
    </row>
    <row r="4" spans="2:14" ht="15.75">
      <c r="B4" s="42" t="s">
        <v>41</v>
      </c>
      <c r="C4" s="45"/>
      <c r="D4" s="45"/>
      <c r="E4" s="45"/>
      <c r="F4" s="45"/>
      <c r="G4" s="45"/>
      <c r="H4" s="28"/>
      <c r="I4" s="27"/>
      <c r="J4" s="27"/>
      <c r="K4" s="27"/>
      <c r="L4" s="27"/>
      <c r="M4" s="27"/>
      <c r="N4" s="27"/>
    </row>
    <row r="5" spans="1:15" ht="18">
      <c r="A5" s="16"/>
      <c r="B5" s="35"/>
      <c r="C5" s="17"/>
      <c r="D5" s="19"/>
      <c r="E5" s="19"/>
      <c r="F5" s="19"/>
      <c r="G5" s="19"/>
      <c r="H5" s="16"/>
      <c r="I5" s="16"/>
      <c r="O5" s="24"/>
    </row>
    <row r="6" spans="1:28" ht="87.75" customHeight="1">
      <c r="A6" s="21" t="s">
        <v>5</v>
      </c>
      <c r="B6" s="36" t="s">
        <v>0</v>
      </c>
      <c r="C6" s="2" t="s">
        <v>7</v>
      </c>
      <c r="D6" s="2" t="s">
        <v>36</v>
      </c>
      <c r="E6" s="2" t="s">
        <v>30</v>
      </c>
      <c r="F6" s="2" t="s">
        <v>10</v>
      </c>
      <c r="G6" s="2" t="s">
        <v>29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45</v>
      </c>
      <c r="N6" s="2" t="s">
        <v>46</v>
      </c>
      <c r="O6" s="2" t="s">
        <v>42</v>
      </c>
      <c r="P6" s="2" t="s">
        <v>47</v>
      </c>
      <c r="Q6" s="40" t="s">
        <v>56</v>
      </c>
      <c r="R6" s="40" t="s">
        <v>55</v>
      </c>
      <c r="S6" s="2" t="s">
        <v>57</v>
      </c>
      <c r="T6" s="40" t="s">
        <v>59</v>
      </c>
      <c r="U6" s="40" t="s">
        <v>60</v>
      </c>
      <c r="V6" s="40" t="s">
        <v>61</v>
      </c>
      <c r="W6" s="2" t="s">
        <v>58</v>
      </c>
      <c r="X6" s="40" t="s">
        <v>63</v>
      </c>
      <c r="Y6" s="40" t="s">
        <v>64</v>
      </c>
      <c r="Z6" s="40" t="s">
        <v>65</v>
      </c>
      <c r="AA6" s="2" t="s">
        <v>62</v>
      </c>
      <c r="AB6" s="2" t="s">
        <v>66</v>
      </c>
    </row>
    <row r="7" spans="1:29" s="19" customFormat="1" ht="63" customHeight="1">
      <c r="A7" s="2"/>
      <c r="B7" s="46" t="s">
        <v>31</v>
      </c>
      <c r="C7" s="1">
        <v>0</v>
      </c>
      <c r="D7" s="1">
        <v>0</v>
      </c>
      <c r="E7" s="1">
        <v>0</v>
      </c>
      <c r="F7" s="18">
        <v>0</v>
      </c>
      <c r="G7" s="18">
        <v>0</v>
      </c>
      <c r="H7" s="1">
        <v>0</v>
      </c>
      <c r="I7" s="1">
        <v>0</v>
      </c>
      <c r="J7" s="18">
        <f>G7+H7</f>
        <v>0</v>
      </c>
      <c r="K7" s="1">
        <v>0</v>
      </c>
      <c r="L7" s="18">
        <v>0</v>
      </c>
      <c r="M7" s="18">
        <f>J7*$D$47</f>
        <v>0</v>
      </c>
      <c r="N7" s="18">
        <f>K7*$D$49</f>
        <v>0</v>
      </c>
      <c r="O7" s="18">
        <f>M7+N7</f>
        <v>0</v>
      </c>
      <c r="P7" s="18">
        <f>ROUND(O7,2)</f>
        <v>0</v>
      </c>
      <c r="Q7" s="41">
        <v>0</v>
      </c>
      <c r="R7" s="41">
        <v>0</v>
      </c>
      <c r="S7" s="41">
        <f>Q7+R7</f>
        <v>0</v>
      </c>
      <c r="T7" s="41">
        <v>0</v>
      </c>
      <c r="U7" s="41">
        <v>0</v>
      </c>
      <c r="V7" s="41">
        <v>0</v>
      </c>
      <c r="W7" s="41">
        <f>T7+U7+V7</f>
        <v>0</v>
      </c>
      <c r="X7" s="41">
        <v>0</v>
      </c>
      <c r="Y7" s="41">
        <v>0</v>
      </c>
      <c r="Z7" s="41">
        <f aca="true" t="shared" si="0" ref="Z7:Z31">P7-Q7-R7-T7-U7-V7-X7-Y7</f>
        <v>0</v>
      </c>
      <c r="AA7" s="41">
        <f aca="true" t="shared" si="1" ref="AA7:AA31">X7+Y7+Z7</f>
        <v>0</v>
      </c>
      <c r="AB7" s="41">
        <f aca="true" t="shared" si="2" ref="AB7:AB31">Q7+R7+T7+U7+V7+X7+Y7+Z7</f>
        <v>0</v>
      </c>
      <c r="AC7" s="38"/>
    </row>
    <row r="8" spans="1:29" s="19" customFormat="1" ht="27" customHeight="1">
      <c r="A8" s="2">
        <v>1</v>
      </c>
      <c r="B8" s="36" t="s">
        <v>12</v>
      </c>
      <c r="C8" s="1">
        <v>244</v>
      </c>
      <c r="D8" s="1">
        <v>91</v>
      </c>
      <c r="E8" s="1">
        <v>107.5</v>
      </c>
      <c r="F8" s="18">
        <f aca="true" t="shared" si="3" ref="F8:F18">E8/D8</f>
        <v>1.1813186813186813</v>
      </c>
      <c r="G8" s="18">
        <f>C8</f>
        <v>244</v>
      </c>
      <c r="H8" s="1">
        <v>60</v>
      </c>
      <c r="I8" s="1">
        <v>0</v>
      </c>
      <c r="J8" s="18">
        <f aca="true" t="shared" si="4" ref="J8:J13">G8+H8+I8</f>
        <v>304</v>
      </c>
      <c r="K8" s="1">
        <f>182.5+2</f>
        <v>184.5</v>
      </c>
      <c r="L8" s="18">
        <f aca="true" t="shared" si="5" ref="L8:L31">J8+K8</f>
        <v>488.5</v>
      </c>
      <c r="M8" s="18">
        <f aca="true" t="shared" si="6" ref="M8:M31">J8*$D$47</f>
        <v>46372.08218414306</v>
      </c>
      <c r="N8" s="18">
        <f aca="true" t="shared" si="7" ref="N8:N31">K8*$D$49</f>
        <v>84068.58228886678</v>
      </c>
      <c r="O8" s="18">
        <f aca="true" t="shared" si="8" ref="O8:O31">M8+N8</f>
        <v>130440.66447300983</v>
      </c>
      <c r="P8" s="18">
        <f aca="true" t="shared" si="9" ref="P8:P30">ROUND(O8,2)</f>
        <v>130440.66</v>
      </c>
      <c r="Q8" s="41">
        <v>18638.92</v>
      </c>
      <c r="R8" s="41">
        <v>18638.92</v>
      </c>
      <c r="S8" s="41">
        <f aca="true" t="shared" si="10" ref="S8:S31">Q8+R8</f>
        <v>37277.84</v>
      </c>
      <c r="T8" s="41">
        <v>18632.56</v>
      </c>
      <c r="U8" s="41">
        <v>18632.56</v>
      </c>
      <c r="V8" s="41">
        <v>18632.56</v>
      </c>
      <c r="W8" s="41">
        <f aca="true" t="shared" si="11" ref="W8:W31">T8+U8+V8</f>
        <v>55897.68000000001</v>
      </c>
      <c r="X8" s="41">
        <v>12421.71</v>
      </c>
      <c r="Y8" s="41">
        <v>12421.71</v>
      </c>
      <c r="Z8" s="41">
        <f t="shared" si="0"/>
        <v>12421.720000000016</v>
      </c>
      <c r="AA8" s="41">
        <f t="shared" si="1"/>
        <v>37265.140000000014</v>
      </c>
      <c r="AB8" s="41">
        <f t="shared" si="2"/>
        <v>130440.65999999999</v>
      </c>
      <c r="AC8" s="38"/>
    </row>
    <row r="9" spans="1:29" s="19" customFormat="1" ht="24.75" customHeight="1">
      <c r="A9" s="2">
        <v>2</v>
      </c>
      <c r="B9" s="36" t="s">
        <v>14</v>
      </c>
      <c r="C9" s="1">
        <v>117</v>
      </c>
      <c r="D9" s="1">
        <v>36</v>
      </c>
      <c r="E9" s="1">
        <v>40</v>
      </c>
      <c r="F9" s="18">
        <f t="shared" si="3"/>
        <v>1.1111111111111112</v>
      </c>
      <c r="G9" s="18">
        <f>C9</f>
        <v>117</v>
      </c>
      <c r="H9" s="1">
        <v>40</v>
      </c>
      <c r="I9" s="1">
        <v>0</v>
      </c>
      <c r="J9" s="18">
        <f t="shared" si="4"/>
        <v>157</v>
      </c>
      <c r="K9" s="1">
        <f>63+2+2</f>
        <v>67</v>
      </c>
      <c r="L9" s="18">
        <f t="shared" si="5"/>
        <v>224</v>
      </c>
      <c r="M9" s="18">
        <f t="shared" si="6"/>
        <v>23948.73981220546</v>
      </c>
      <c r="N9" s="18">
        <f t="shared" si="7"/>
        <v>30528.9702620817</v>
      </c>
      <c r="O9" s="18">
        <f t="shared" si="8"/>
        <v>54477.710074287155</v>
      </c>
      <c r="P9" s="18">
        <f t="shared" si="9"/>
        <v>54477.71</v>
      </c>
      <c r="Q9" s="41">
        <v>7784.43</v>
      </c>
      <c r="R9" s="41">
        <v>7784.43</v>
      </c>
      <c r="S9" s="41">
        <f t="shared" si="10"/>
        <v>15568.86</v>
      </c>
      <c r="T9" s="41">
        <v>7781.77</v>
      </c>
      <c r="U9" s="41">
        <v>7781.77</v>
      </c>
      <c r="V9" s="41">
        <v>7781.77</v>
      </c>
      <c r="W9" s="41">
        <f t="shared" si="11"/>
        <v>23345.31</v>
      </c>
      <c r="X9" s="41">
        <v>5187.85</v>
      </c>
      <c r="Y9" s="41">
        <v>5187.85</v>
      </c>
      <c r="Z9" s="41">
        <f t="shared" si="0"/>
        <v>5187.8399999999965</v>
      </c>
      <c r="AA9" s="41">
        <f t="shared" si="1"/>
        <v>15563.539999999997</v>
      </c>
      <c r="AB9" s="41">
        <f t="shared" si="2"/>
        <v>54477.70999999999</v>
      </c>
      <c r="AC9" s="38"/>
    </row>
    <row r="10" spans="1:29" s="19" customFormat="1" ht="44.25" customHeight="1">
      <c r="A10" s="2">
        <v>3</v>
      </c>
      <c r="B10" s="36" t="s">
        <v>1</v>
      </c>
      <c r="C10" s="1">
        <v>165</v>
      </c>
      <c r="D10" s="1">
        <v>48</v>
      </c>
      <c r="E10" s="1">
        <v>47.21</v>
      </c>
      <c r="F10" s="18">
        <f t="shared" si="3"/>
        <v>0.9835416666666666</v>
      </c>
      <c r="G10" s="18">
        <f>C10*F10</f>
        <v>162.28437499999998</v>
      </c>
      <c r="H10" s="1">
        <v>60</v>
      </c>
      <c r="I10" s="1">
        <v>16</v>
      </c>
      <c r="J10" s="18">
        <f t="shared" si="4"/>
        <v>238.28437499999998</v>
      </c>
      <c r="K10" s="1">
        <f>91.07+2</f>
        <v>93.07</v>
      </c>
      <c r="L10" s="18">
        <f t="shared" si="5"/>
        <v>331.354375</v>
      </c>
      <c r="M10" s="18">
        <f t="shared" si="6"/>
        <v>36347.83756808277</v>
      </c>
      <c r="N10" s="18">
        <f t="shared" si="7"/>
        <v>42407.929287939456</v>
      </c>
      <c r="O10" s="18">
        <f t="shared" si="8"/>
        <v>78755.76685602222</v>
      </c>
      <c r="P10" s="18">
        <f t="shared" si="9"/>
        <v>78755.77</v>
      </c>
      <c r="Q10" s="41">
        <v>11253.56</v>
      </c>
      <c r="R10" s="41">
        <v>11253.56</v>
      </c>
      <c r="S10" s="41">
        <f t="shared" si="10"/>
        <v>22507.12</v>
      </c>
      <c r="T10" s="41">
        <v>11249.73</v>
      </c>
      <c r="U10" s="41">
        <v>11249.73</v>
      </c>
      <c r="V10" s="41">
        <v>11249.73</v>
      </c>
      <c r="W10" s="41">
        <f t="shared" si="11"/>
        <v>33749.19</v>
      </c>
      <c r="X10" s="41">
        <v>7499.82</v>
      </c>
      <c r="Y10" s="41">
        <v>7499.82</v>
      </c>
      <c r="Z10" s="41">
        <f t="shared" si="0"/>
        <v>7499.820000000018</v>
      </c>
      <c r="AA10" s="41">
        <f t="shared" si="1"/>
        <v>22499.460000000017</v>
      </c>
      <c r="AB10" s="41">
        <f t="shared" si="2"/>
        <v>78755.77000000002</v>
      </c>
      <c r="AC10" s="38"/>
    </row>
    <row r="11" spans="1:29" s="19" customFormat="1" ht="24.75" customHeight="1">
      <c r="A11" s="2">
        <v>4</v>
      </c>
      <c r="B11" s="36" t="s">
        <v>15</v>
      </c>
      <c r="C11" s="1">
        <v>62</v>
      </c>
      <c r="D11" s="1">
        <v>23</v>
      </c>
      <c r="E11" s="1">
        <v>20</v>
      </c>
      <c r="F11" s="18">
        <f t="shared" si="3"/>
        <v>0.8695652173913043</v>
      </c>
      <c r="G11" s="18">
        <f>C11*F11</f>
        <v>53.91304347826087</v>
      </c>
      <c r="H11" s="1">
        <v>60</v>
      </c>
      <c r="I11" s="1">
        <v>0</v>
      </c>
      <c r="J11" s="18">
        <f t="shared" si="4"/>
        <v>113.91304347826087</v>
      </c>
      <c r="K11" s="1">
        <f>45+2</f>
        <v>47</v>
      </c>
      <c r="L11" s="18">
        <f t="shared" si="5"/>
        <v>160.91304347826087</v>
      </c>
      <c r="M11" s="18">
        <f t="shared" si="6"/>
        <v>17376.2664934861</v>
      </c>
      <c r="N11" s="18">
        <f t="shared" si="7"/>
        <v>21415.84481071403</v>
      </c>
      <c r="O11" s="18">
        <f t="shared" si="8"/>
        <v>38792.11130420012</v>
      </c>
      <c r="P11" s="18">
        <f t="shared" si="9"/>
        <v>38792.11</v>
      </c>
      <c r="Q11" s="41">
        <v>5543.08</v>
      </c>
      <c r="R11" s="41">
        <v>5543.08</v>
      </c>
      <c r="S11" s="41">
        <f t="shared" si="10"/>
        <v>11086.16</v>
      </c>
      <c r="T11" s="41">
        <v>5541.19</v>
      </c>
      <c r="U11" s="41">
        <v>5541.19</v>
      </c>
      <c r="V11" s="41">
        <v>5541.19</v>
      </c>
      <c r="W11" s="41">
        <f t="shared" si="11"/>
        <v>16623.57</v>
      </c>
      <c r="X11" s="41">
        <v>3694.13</v>
      </c>
      <c r="Y11" s="41">
        <v>3694.13</v>
      </c>
      <c r="Z11" s="41">
        <f t="shared" si="0"/>
        <v>3694.120000000001</v>
      </c>
      <c r="AA11" s="41">
        <f t="shared" si="1"/>
        <v>11082.380000000001</v>
      </c>
      <c r="AB11" s="41">
        <f t="shared" si="2"/>
        <v>38792.11</v>
      </c>
      <c r="AC11" s="38"/>
    </row>
    <row r="12" spans="1:29" s="19" customFormat="1" ht="24.75" customHeight="1">
      <c r="A12" s="2">
        <v>5</v>
      </c>
      <c r="B12" s="36" t="s">
        <v>25</v>
      </c>
      <c r="C12" s="1">
        <v>180</v>
      </c>
      <c r="D12" s="1">
        <v>45</v>
      </c>
      <c r="E12" s="1">
        <v>32.5</v>
      </c>
      <c r="F12" s="18">
        <f t="shared" si="3"/>
        <v>0.7222222222222222</v>
      </c>
      <c r="G12" s="18">
        <f>C12*F12</f>
        <v>130</v>
      </c>
      <c r="H12" s="1">
        <v>60</v>
      </c>
      <c r="I12" s="1">
        <v>0</v>
      </c>
      <c r="J12" s="18">
        <f>G12+H12+I12</f>
        <v>190</v>
      </c>
      <c r="K12" s="1">
        <f>75+2</f>
        <v>77</v>
      </c>
      <c r="L12" s="18">
        <f>J12+K12</f>
        <v>267</v>
      </c>
      <c r="M12" s="18">
        <f t="shared" si="6"/>
        <v>28982.55136508941</v>
      </c>
      <c r="N12" s="18">
        <f t="shared" si="7"/>
        <v>35085.53298776554</v>
      </c>
      <c r="O12" s="18">
        <f t="shared" si="8"/>
        <v>64068.084352854945</v>
      </c>
      <c r="P12" s="18">
        <f t="shared" si="9"/>
        <v>64068.08</v>
      </c>
      <c r="Q12" s="41">
        <v>9154.81</v>
      </c>
      <c r="R12" s="41">
        <v>9154.81</v>
      </c>
      <c r="S12" s="41">
        <f t="shared" si="10"/>
        <v>18309.62</v>
      </c>
      <c r="T12" s="41">
        <v>9151.69</v>
      </c>
      <c r="U12" s="41">
        <v>9151.69</v>
      </c>
      <c r="V12" s="41">
        <v>9151.69</v>
      </c>
      <c r="W12" s="41">
        <f t="shared" si="11"/>
        <v>27455.07</v>
      </c>
      <c r="X12" s="41">
        <v>6101.13</v>
      </c>
      <c r="Y12" s="41">
        <v>6101.13</v>
      </c>
      <c r="Z12" s="41">
        <f t="shared" si="0"/>
        <v>6101.129999999998</v>
      </c>
      <c r="AA12" s="41">
        <f t="shared" si="1"/>
        <v>18303.39</v>
      </c>
      <c r="AB12" s="41">
        <f t="shared" si="2"/>
        <v>64068.079999999994</v>
      </c>
      <c r="AC12" s="38"/>
    </row>
    <row r="13" spans="1:29" s="19" customFormat="1" ht="30.75" customHeight="1">
      <c r="A13" s="2">
        <v>6</v>
      </c>
      <c r="B13" s="36" t="s">
        <v>19</v>
      </c>
      <c r="C13" s="1">
        <v>215</v>
      </c>
      <c r="D13" s="1">
        <v>65</v>
      </c>
      <c r="E13" s="1">
        <v>65</v>
      </c>
      <c r="F13" s="18">
        <f t="shared" si="3"/>
        <v>1</v>
      </c>
      <c r="G13" s="18">
        <f>F13*C13</f>
        <v>215</v>
      </c>
      <c r="H13" s="1">
        <v>60</v>
      </c>
      <c r="I13" s="1">
        <v>0</v>
      </c>
      <c r="J13" s="18">
        <f t="shared" si="4"/>
        <v>275</v>
      </c>
      <c r="K13" s="1">
        <f>122.5+4.3</f>
        <v>126.8</v>
      </c>
      <c r="L13" s="18">
        <f>J13+K13</f>
        <v>401.8</v>
      </c>
      <c r="M13" s="18">
        <f t="shared" si="6"/>
        <v>41948.42960736625</v>
      </c>
      <c r="N13" s="18">
        <f t="shared" si="7"/>
        <v>57777.21536167104</v>
      </c>
      <c r="O13" s="18">
        <f t="shared" si="8"/>
        <v>99725.6449690373</v>
      </c>
      <c r="P13" s="18">
        <f t="shared" si="9"/>
        <v>99725.64</v>
      </c>
      <c r="Q13" s="41">
        <v>14249.99</v>
      </c>
      <c r="R13" s="41">
        <v>14249.99</v>
      </c>
      <c r="S13" s="41">
        <f t="shared" si="10"/>
        <v>28499.98</v>
      </c>
      <c r="T13" s="41">
        <v>14245.13</v>
      </c>
      <c r="U13" s="41">
        <v>14245.13</v>
      </c>
      <c r="V13" s="41">
        <v>14245.13</v>
      </c>
      <c r="W13" s="41">
        <f t="shared" si="11"/>
        <v>42735.39</v>
      </c>
      <c r="X13" s="41">
        <v>9496.75</v>
      </c>
      <c r="Y13" s="41">
        <v>9496.75</v>
      </c>
      <c r="Z13" s="41">
        <f t="shared" si="0"/>
        <v>9496.769999999997</v>
      </c>
      <c r="AA13" s="41">
        <f t="shared" si="1"/>
        <v>28490.269999999997</v>
      </c>
      <c r="AB13" s="41">
        <f t="shared" si="2"/>
        <v>99725.63999999998</v>
      </c>
      <c r="AC13" s="38"/>
    </row>
    <row r="14" spans="1:29" s="19" customFormat="1" ht="36" customHeight="1">
      <c r="A14" s="2">
        <v>7</v>
      </c>
      <c r="B14" s="36" t="s">
        <v>4</v>
      </c>
      <c r="C14" s="1">
        <v>90</v>
      </c>
      <c r="D14" s="1">
        <v>32</v>
      </c>
      <c r="E14" s="1">
        <v>32.5</v>
      </c>
      <c r="F14" s="18">
        <f t="shared" si="3"/>
        <v>1.015625</v>
      </c>
      <c r="G14" s="18">
        <f>C14</f>
        <v>90</v>
      </c>
      <c r="H14" s="1">
        <v>40</v>
      </c>
      <c r="I14" s="1">
        <v>0</v>
      </c>
      <c r="J14" s="18">
        <f aca="true" t="shared" si="12" ref="J14:J25">G14+H14+I14</f>
        <v>130</v>
      </c>
      <c r="K14" s="1">
        <f>85+5</f>
        <v>90</v>
      </c>
      <c r="L14" s="18">
        <f t="shared" si="5"/>
        <v>220</v>
      </c>
      <c r="M14" s="18">
        <f t="shared" si="6"/>
        <v>19830.166723482227</v>
      </c>
      <c r="N14" s="18">
        <f t="shared" si="7"/>
        <v>41009.06453115452</v>
      </c>
      <c r="O14" s="18">
        <f t="shared" si="8"/>
        <v>60839.23125463675</v>
      </c>
      <c r="P14" s="18">
        <f t="shared" si="9"/>
        <v>60839.23</v>
      </c>
      <c r="Q14" s="41">
        <v>8693.44</v>
      </c>
      <c r="R14" s="41">
        <v>8693.44</v>
      </c>
      <c r="S14" s="41">
        <f t="shared" si="10"/>
        <v>17386.88</v>
      </c>
      <c r="T14" s="41">
        <v>8690.47</v>
      </c>
      <c r="U14" s="41">
        <v>8690.47</v>
      </c>
      <c r="V14" s="41">
        <v>8690.47</v>
      </c>
      <c r="W14" s="41">
        <f t="shared" si="11"/>
        <v>26071.409999999996</v>
      </c>
      <c r="X14" s="41">
        <v>5793.65</v>
      </c>
      <c r="Y14" s="41">
        <v>5793.65</v>
      </c>
      <c r="Z14" s="41">
        <f t="shared" si="0"/>
        <v>5793.639999999996</v>
      </c>
      <c r="AA14" s="41">
        <f t="shared" si="1"/>
        <v>17380.939999999995</v>
      </c>
      <c r="AB14" s="41">
        <f t="shared" si="2"/>
        <v>60839.229999999996</v>
      </c>
      <c r="AC14" s="38"/>
    </row>
    <row r="15" spans="1:29" s="19" customFormat="1" ht="24.75" customHeight="1">
      <c r="A15" s="2"/>
      <c r="B15" s="36" t="s">
        <v>37</v>
      </c>
      <c r="C15" s="1">
        <f>89-89</f>
        <v>0</v>
      </c>
      <c r="D15" s="1">
        <f>38-38</f>
        <v>0</v>
      </c>
      <c r="E15" s="1">
        <f>35-35</f>
        <v>0</v>
      </c>
      <c r="F15" s="18">
        <v>0</v>
      </c>
      <c r="G15" s="18">
        <f>F15*C15</f>
        <v>0</v>
      </c>
      <c r="H15" s="1">
        <f>40-40</f>
        <v>0</v>
      </c>
      <c r="I15" s="1">
        <v>0</v>
      </c>
      <c r="J15" s="18">
        <f t="shared" si="12"/>
        <v>0</v>
      </c>
      <c r="K15" s="1">
        <f>60.5+2-62.5</f>
        <v>0</v>
      </c>
      <c r="L15" s="18">
        <f t="shared" si="5"/>
        <v>0</v>
      </c>
      <c r="M15" s="18">
        <f t="shared" si="6"/>
        <v>0</v>
      </c>
      <c r="N15" s="18">
        <f t="shared" si="7"/>
        <v>0</v>
      </c>
      <c r="O15" s="18">
        <f t="shared" si="8"/>
        <v>0</v>
      </c>
      <c r="P15" s="18">
        <f t="shared" si="9"/>
        <v>0</v>
      </c>
      <c r="Q15" s="41">
        <v>0</v>
      </c>
      <c r="R15" s="41">
        <v>0</v>
      </c>
      <c r="S15" s="41">
        <f t="shared" si="10"/>
        <v>0</v>
      </c>
      <c r="T15" s="41">
        <v>0</v>
      </c>
      <c r="U15" s="41">
        <v>0</v>
      </c>
      <c r="V15" s="41">
        <v>0</v>
      </c>
      <c r="W15" s="41">
        <f t="shared" si="11"/>
        <v>0</v>
      </c>
      <c r="X15" s="41">
        <v>0</v>
      </c>
      <c r="Y15" s="41">
        <v>0</v>
      </c>
      <c r="Z15" s="41">
        <f t="shared" si="0"/>
        <v>0</v>
      </c>
      <c r="AA15" s="41">
        <f t="shared" si="1"/>
        <v>0</v>
      </c>
      <c r="AB15" s="41">
        <f t="shared" si="2"/>
        <v>0</v>
      </c>
      <c r="AC15" s="38"/>
    </row>
    <row r="16" spans="1:29" s="19" customFormat="1" ht="24.75" customHeight="1">
      <c r="A16" s="2">
        <v>8</v>
      </c>
      <c r="B16" s="36" t="s">
        <v>16</v>
      </c>
      <c r="C16" s="1">
        <v>108</v>
      </c>
      <c r="D16" s="1">
        <v>40</v>
      </c>
      <c r="E16" s="1">
        <f>30-10+5-5+5</f>
        <v>25</v>
      </c>
      <c r="F16" s="18">
        <f t="shared" si="3"/>
        <v>0.625</v>
      </c>
      <c r="G16" s="18">
        <f>C16*F16</f>
        <v>67.5</v>
      </c>
      <c r="H16" s="1">
        <v>40</v>
      </c>
      <c r="I16" s="1">
        <v>0</v>
      </c>
      <c r="J16" s="18">
        <f t="shared" si="12"/>
        <v>107.5</v>
      </c>
      <c r="K16" s="1">
        <f>69.5+2-15+5-9-7.5+7.5+2</f>
        <v>54.5</v>
      </c>
      <c r="L16" s="18">
        <f t="shared" si="5"/>
        <v>162</v>
      </c>
      <c r="M16" s="18">
        <f t="shared" si="6"/>
        <v>16398.022482879533</v>
      </c>
      <c r="N16" s="18">
        <f t="shared" si="7"/>
        <v>24833.266854976908</v>
      </c>
      <c r="O16" s="18">
        <f t="shared" si="8"/>
        <v>41231.28933785644</v>
      </c>
      <c r="P16" s="18">
        <f t="shared" si="9"/>
        <v>41231.29</v>
      </c>
      <c r="Q16" s="41">
        <v>5891.62</v>
      </c>
      <c r="R16" s="41">
        <v>5891.62</v>
      </c>
      <c r="S16" s="41">
        <f t="shared" si="10"/>
        <v>11783.24</v>
      </c>
      <c r="T16" s="41">
        <v>5889.61</v>
      </c>
      <c r="U16" s="41">
        <v>5889.61</v>
      </c>
      <c r="V16" s="41">
        <v>5889.61</v>
      </c>
      <c r="W16" s="41">
        <f t="shared" si="11"/>
        <v>17668.829999999998</v>
      </c>
      <c r="X16" s="41">
        <v>3926.41</v>
      </c>
      <c r="Y16" s="41">
        <v>3926.41</v>
      </c>
      <c r="Z16" s="41">
        <f t="shared" si="0"/>
        <v>3926.399999999998</v>
      </c>
      <c r="AA16" s="41">
        <f t="shared" si="1"/>
        <v>11779.219999999998</v>
      </c>
      <c r="AB16" s="41">
        <f t="shared" si="2"/>
        <v>41231.28999999999</v>
      </c>
      <c r="AC16" s="38"/>
    </row>
    <row r="17" spans="1:29" s="19" customFormat="1" ht="24.75" customHeight="1">
      <c r="A17" s="2">
        <v>9</v>
      </c>
      <c r="B17" s="36" t="s">
        <v>23</v>
      </c>
      <c r="C17" s="1">
        <v>50</v>
      </c>
      <c r="D17" s="1">
        <v>18</v>
      </c>
      <c r="E17" s="1">
        <v>22.5</v>
      </c>
      <c r="F17" s="18">
        <f t="shared" si="3"/>
        <v>1.25</v>
      </c>
      <c r="G17" s="18">
        <f aca="true" t="shared" si="13" ref="G17:G22">C17</f>
        <v>50</v>
      </c>
      <c r="H17" s="1">
        <v>60</v>
      </c>
      <c r="I17" s="1">
        <v>0</v>
      </c>
      <c r="J17" s="18">
        <f>G17+H17+I17</f>
        <v>110</v>
      </c>
      <c r="K17" s="1">
        <f>49.29+2</f>
        <v>51.29</v>
      </c>
      <c r="L17" s="18">
        <f>J17+K17</f>
        <v>161.29</v>
      </c>
      <c r="M17" s="18">
        <f t="shared" si="6"/>
        <v>16779.3718429465</v>
      </c>
      <c r="N17" s="18">
        <f t="shared" si="7"/>
        <v>23370.610220032395</v>
      </c>
      <c r="O17" s="18">
        <f t="shared" si="8"/>
        <v>40149.982062978896</v>
      </c>
      <c r="P17" s="18">
        <f t="shared" si="9"/>
        <v>40149.98</v>
      </c>
      <c r="Q17" s="41">
        <v>5737.11</v>
      </c>
      <c r="R17" s="41">
        <v>5737.11</v>
      </c>
      <c r="S17" s="41">
        <f t="shared" si="10"/>
        <v>11474.22</v>
      </c>
      <c r="T17" s="41">
        <v>5735.15</v>
      </c>
      <c r="U17" s="41">
        <v>5735.15</v>
      </c>
      <c r="V17" s="41">
        <v>5735.15</v>
      </c>
      <c r="W17" s="41">
        <f t="shared" si="11"/>
        <v>17205.449999999997</v>
      </c>
      <c r="X17" s="41">
        <v>3823.44</v>
      </c>
      <c r="Y17" s="41">
        <v>3823.44</v>
      </c>
      <c r="Z17" s="41">
        <f t="shared" si="0"/>
        <v>3823.429999999999</v>
      </c>
      <c r="AA17" s="41">
        <f t="shared" si="1"/>
        <v>11470.31</v>
      </c>
      <c r="AB17" s="41">
        <f t="shared" si="2"/>
        <v>40149.979999999996</v>
      </c>
      <c r="AC17" s="38"/>
    </row>
    <row r="18" spans="1:29" s="19" customFormat="1" ht="30.75" customHeight="1">
      <c r="A18" s="2">
        <v>10</v>
      </c>
      <c r="B18" s="36" t="s">
        <v>22</v>
      </c>
      <c r="C18" s="1">
        <v>80</v>
      </c>
      <c r="D18" s="1">
        <v>22</v>
      </c>
      <c r="E18" s="1">
        <v>22.5</v>
      </c>
      <c r="F18" s="18">
        <f t="shared" si="3"/>
        <v>1.0227272727272727</v>
      </c>
      <c r="G18" s="18">
        <f t="shared" si="13"/>
        <v>80</v>
      </c>
      <c r="H18" s="1">
        <v>60</v>
      </c>
      <c r="I18" s="1">
        <v>0</v>
      </c>
      <c r="J18" s="18">
        <f t="shared" si="12"/>
        <v>140</v>
      </c>
      <c r="K18" s="1">
        <f>50.5+2+2</f>
        <v>54.5</v>
      </c>
      <c r="L18" s="18">
        <f>J18+K18</f>
        <v>194.5</v>
      </c>
      <c r="M18" s="18">
        <f t="shared" si="6"/>
        <v>21355.564163750092</v>
      </c>
      <c r="N18" s="18">
        <f t="shared" si="7"/>
        <v>24833.266854976908</v>
      </c>
      <c r="O18" s="18">
        <f t="shared" si="8"/>
        <v>46188.831018726996</v>
      </c>
      <c r="P18" s="18">
        <f t="shared" si="9"/>
        <v>46188.83</v>
      </c>
      <c r="Q18" s="41">
        <v>6600.01</v>
      </c>
      <c r="R18" s="41">
        <v>6600.01</v>
      </c>
      <c r="S18" s="41">
        <f t="shared" si="10"/>
        <v>13200.02</v>
      </c>
      <c r="T18" s="41">
        <v>6597.76</v>
      </c>
      <c r="U18" s="41">
        <v>6597.76</v>
      </c>
      <c r="V18" s="41">
        <v>6597.76</v>
      </c>
      <c r="W18" s="41">
        <f t="shared" si="11"/>
        <v>19793.28</v>
      </c>
      <c r="X18" s="41">
        <v>4398.51</v>
      </c>
      <c r="Y18" s="41">
        <v>4398.51</v>
      </c>
      <c r="Z18" s="41">
        <f t="shared" si="0"/>
        <v>4398.509999999993</v>
      </c>
      <c r="AA18" s="41">
        <f t="shared" si="1"/>
        <v>13195.529999999993</v>
      </c>
      <c r="AB18" s="41">
        <f t="shared" si="2"/>
        <v>46188.83</v>
      </c>
      <c r="AC18" s="38"/>
    </row>
    <row r="19" spans="1:29" s="19" customFormat="1" ht="35.25" customHeight="1">
      <c r="A19" s="2">
        <v>11</v>
      </c>
      <c r="B19" s="36" t="s">
        <v>24</v>
      </c>
      <c r="C19" s="1">
        <v>180</v>
      </c>
      <c r="D19" s="1">
        <v>41</v>
      </c>
      <c r="E19" s="1">
        <v>42</v>
      </c>
      <c r="F19" s="18">
        <f>E19/D19</f>
        <v>1.024390243902439</v>
      </c>
      <c r="G19" s="18">
        <f t="shared" si="13"/>
        <v>180</v>
      </c>
      <c r="H19" s="1">
        <v>40</v>
      </c>
      <c r="I19" s="1">
        <v>0</v>
      </c>
      <c r="J19" s="18">
        <f>G19+H19+I19</f>
        <v>220</v>
      </c>
      <c r="K19" s="1">
        <f>78.21+2</f>
        <v>80.21</v>
      </c>
      <c r="L19" s="18">
        <f>J19+K19</f>
        <v>300.21</v>
      </c>
      <c r="M19" s="18">
        <f t="shared" si="6"/>
        <v>33558.743685893</v>
      </c>
      <c r="N19" s="18">
        <f t="shared" si="7"/>
        <v>36548.189622710044</v>
      </c>
      <c r="O19" s="18">
        <f t="shared" si="8"/>
        <v>70106.93330860304</v>
      </c>
      <c r="P19" s="18">
        <f t="shared" si="9"/>
        <v>70106.93</v>
      </c>
      <c r="Q19" s="41">
        <v>10017.71</v>
      </c>
      <c r="R19" s="41">
        <v>10017.71</v>
      </c>
      <c r="S19" s="41">
        <f t="shared" si="10"/>
        <v>20035.42</v>
      </c>
      <c r="T19" s="41">
        <v>10014.3</v>
      </c>
      <c r="U19" s="41">
        <v>10014.3</v>
      </c>
      <c r="V19" s="41">
        <v>10014.3</v>
      </c>
      <c r="W19" s="41">
        <f t="shared" si="11"/>
        <v>30042.899999999998</v>
      </c>
      <c r="X19" s="41">
        <v>6676.2</v>
      </c>
      <c r="Y19" s="41">
        <v>6676.2</v>
      </c>
      <c r="Z19" s="41">
        <f t="shared" si="0"/>
        <v>6676.209999999993</v>
      </c>
      <c r="AA19" s="41">
        <f t="shared" si="1"/>
        <v>20028.609999999993</v>
      </c>
      <c r="AB19" s="41">
        <f t="shared" si="2"/>
        <v>70106.92999999998</v>
      </c>
      <c r="AC19" s="38"/>
    </row>
    <row r="20" spans="1:29" s="19" customFormat="1" ht="45" customHeight="1">
      <c r="A20" s="2">
        <v>12</v>
      </c>
      <c r="B20" s="36" t="s">
        <v>20</v>
      </c>
      <c r="C20" s="1">
        <v>60</v>
      </c>
      <c r="D20" s="1">
        <v>18</v>
      </c>
      <c r="E20" s="1">
        <v>30</v>
      </c>
      <c r="F20" s="18">
        <f aca="true" t="shared" si="14" ref="F20:F31">E20/D20</f>
        <v>1.6666666666666667</v>
      </c>
      <c r="G20" s="18">
        <f t="shared" si="13"/>
        <v>60</v>
      </c>
      <c r="H20" s="1">
        <v>10</v>
      </c>
      <c r="I20" s="1">
        <v>0</v>
      </c>
      <c r="J20" s="18">
        <f t="shared" si="12"/>
        <v>70</v>
      </c>
      <c r="K20" s="1">
        <f>55+2</f>
        <v>57</v>
      </c>
      <c r="L20" s="18">
        <f>J20+K20</f>
        <v>127</v>
      </c>
      <c r="M20" s="18">
        <f t="shared" si="6"/>
        <v>10677.782081875046</v>
      </c>
      <c r="N20" s="18">
        <f t="shared" si="7"/>
        <v>25972.407536397866</v>
      </c>
      <c r="O20" s="18">
        <f t="shared" si="8"/>
        <v>36650.18961827291</v>
      </c>
      <c r="P20" s="18">
        <f t="shared" si="9"/>
        <v>36650.19</v>
      </c>
      <c r="Q20" s="41">
        <v>5237.02</v>
      </c>
      <c r="R20" s="41">
        <v>5237.02</v>
      </c>
      <c r="S20" s="41">
        <f t="shared" si="10"/>
        <v>10474.04</v>
      </c>
      <c r="T20" s="41">
        <v>5235.23</v>
      </c>
      <c r="U20" s="41">
        <v>5235.23</v>
      </c>
      <c r="V20" s="41">
        <v>5235.23</v>
      </c>
      <c r="W20" s="41">
        <f t="shared" si="11"/>
        <v>15705.689999999999</v>
      </c>
      <c r="X20" s="41">
        <v>3490.15</v>
      </c>
      <c r="Y20" s="41">
        <v>3490.15</v>
      </c>
      <c r="Z20" s="41">
        <f t="shared" si="0"/>
        <v>3490.160000000003</v>
      </c>
      <c r="AA20" s="41">
        <f t="shared" si="1"/>
        <v>10470.460000000003</v>
      </c>
      <c r="AB20" s="41">
        <f t="shared" si="2"/>
        <v>36650.19</v>
      </c>
      <c r="AC20" s="38"/>
    </row>
    <row r="21" spans="1:29" s="19" customFormat="1" ht="29.25" customHeight="1">
      <c r="A21" s="2">
        <v>13</v>
      </c>
      <c r="B21" s="36" t="s">
        <v>27</v>
      </c>
      <c r="C21" s="1">
        <v>205</v>
      </c>
      <c r="D21" s="1">
        <v>70</v>
      </c>
      <c r="E21" s="1">
        <v>210</v>
      </c>
      <c r="F21" s="18">
        <f t="shared" si="14"/>
        <v>3</v>
      </c>
      <c r="G21" s="18">
        <f t="shared" si="13"/>
        <v>205</v>
      </c>
      <c r="H21" s="1">
        <v>40</v>
      </c>
      <c r="I21" s="1">
        <v>0</v>
      </c>
      <c r="J21" s="18">
        <f t="shared" si="12"/>
        <v>245</v>
      </c>
      <c r="K21" s="1">
        <f>253.29+4.29</f>
        <v>257.58</v>
      </c>
      <c r="L21" s="18">
        <f t="shared" si="5"/>
        <v>502.58</v>
      </c>
      <c r="M21" s="18">
        <f t="shared" si="6"/>
        <v>37372.23728656266</v>
      </c>
      <c r="N21" s="18">
        <f t="shared" si="7"/>
        <v>117367.94268816424</v>
      </c>
      <c r="O21" s="18">
        <f t="shared" si="8"/>
        <v>154740.1799747269</v>
      </c>
      <c r="P21" s="18">
        <f t="shared" si="9"/>
        <v>154740.18</v>
      </c>
      <c r="Q21" s="41">
        <v>22111.12</v>
      </c>
      <c r="R21" s="41">
        <v>22111.12</v>
      </c>
      <c r="S21" s="41">
        <f t="shared" si="10"/>
        <v>44222.24</v>
      </c>
      <c r="T21" s="41">
        <v>22103.59</v>
      </c>
      <c r="U21" s="41">
        <v>22103.59</v>
      </c>
      <c r="V21" s="41">
        <v>22103.59</v>
      </c>
      <c r="W21" s="41">
        <f t="shared" si="11"/>
        <v>66310.77</v>
      </c>
      <c r="X21" s="41">
        <v>14735.72</v>
      </c>
      <c r="Y21" s="41">
        <v>14735.72</v>
      </c>
      <c r="Z21" s="41">
        <f t="shared" si="0"/>
        <v>14735.730000000012</v>
      </c>
      <c r="AA21" s="41">
        <f t="shared" si="1"/>
        <v>44207.17000000001</v>
      </c>
      <c r="AB21" s="41">
        <f t="shared" si="2"/>
        <v>154740.18</v>
      </c>
      <c r="AC21" s="38"/>
    </row>
    <row r="22" spans="1:29" s="19" customFormat="1" ht="24.75" customHeight="1">
      <c r="A22" s="2">
        <v>14</v>
      </c>
      <c r="B22" s="36" t="s">
        <v>2</v>
      </c>
      <c r="C22" s="1">
        <v>190</v>
      </c>
      <c r="D22" s="1">
        <v>63</v>
      </c>
      <c r="E22" s="1">
        <v>66.5</v>
      </c>
      <c r="F22" s="18">
        <f t="shared" si="14"/>
        <v>1.0555555555555556</v>
      </c>
      <c r="G22" s="18">
        <f t="shared" si="13"/>
        <v>190</v>
      </c>
      <c r="H22" s="1">
        <f>60</f>
        <v>60</v>
      </c>
      <c r="I22" s="1">
        <f>40</f>
        <v>40</v>
      </c>
      <c r="J22" s="18">
        <f t="shared" si="12"/>
        <v>290</v>
      </c>
      <c r="K22" s="1">
        <f>120+2.86</f>
        <v>122.86</v>
      </c>
      <c r="L22" s="18">
        <f t="shared" si="5"/>
        <v>412.86</v>
      </c>
      <c r="M22" s="18">
        <f t="shared" si="6"/>
        <v>44236.52576776805</v>
      </c>
      <c r="N22" s="18">
        <f t="shared" si="7"/>
        <v>55981.92964775161</v>
      </c>
      <c r="O22" s="18">
        <f t="shared" si="8"/>
        <v>100218.45541551965</v>
      </c>
      <c r="P22" s="18">
        <f t="shared" si="9"/>
        <v>100218.46</v>
      </c>
      <c r="Q22" s="41">
        <v>14320.41</v>
      </c>
      <c r="R22" s="41">
        <v>14320.41</v>
      </c>
      <c r="S22" s="41">
        <f t="shared" si="10"/>
        <v>28640.82</v>
      </c>
      <c r="T22" s="41">
        <v>14315.53</v>
      </c>
      <c r="U22" s="41">
        <v>14315.53</v>
      </c>
      <c r="V22" s="41">
        <v>14315.53</v>
      </c>
      <c r="W22" s="41">
        <f t="shared" si="11"/>
        <v>42946.590000000004</v>
      </c>
      <c r="X22" s="41">
        <v>9543.69</v>
      </c>
      <c r="Y22" s="41">
        <v>9543.69</v>
      </c>
      <c r="Z22" s="41">
        <f t="shared" si="0"/>
        <v>9543.67</v>
      </c>
      <c r="AA22" s="41">
        <f t="shared" si="1"/>
        <v>28631.050000000003</v>
      </c>
      <c r="AB22" s="41">
        <f t="shared" si="2"/>
        <v>100218.46</v>
      </c>
      <c r="AC22" s="38"/>
    </row>
    <row r="23" spans="1:29" s="19" customFormat="1" ht="24.75" customHeight="1">
      <c r="A23" s="2">
        <v>15</v>
      </c>
      <c r="B23" s="36" t="s">
        <v>34</v>
      </c>
      <c r="C23" s="1">
        <v>190</v>
      </c>
      <c r="D23" s="1">
        <v>54</v>
      </c>
      <c r="E23" s="1">
        <v>50</v>
      </c>
      <c r="F23" s="18">
        <f t="shared" si="14"/>
        <v>0.9259259259259259</v>
      </c>
      <c r="G23" s="18">
        <f>C23*F23</f>
        <v>175.92592592592592</v>
      </c>
      <c r="H23" s="1">
        <v>40</v>
      </c>
      <c r="I23" s="1">
        <v>0</v>
      </c>
      <c r="J23" s="18">
        <f t="shared" si="12"/>
        <v>215.92592592592592</v>
      </c>
      <c r="K23" s="1">
        <f>102.5+2</f>
        <v>104.5</v>
      </c>
      <c r="L23" s="18">
        <f t="shared" si="5"/>
        <v>320.4259259259259</v>
      </c>
      <c r="M23" s="18">
        <f t="shared" si="6"/>
        <v>32937.28546948757</v>
      </c>
      <c r="N23" s="18">
        <f t="shared" si="7"/>
        <v>47616.08048339609</v>
      </c>
      <c r="O23" s="18">
        <f t="shared" si="8"/>
        <v>80553.36595288366</v>
      </c>
      <c r="P23" s="18">
        <f t="shared" si="9"/>
        <v>80553.37</v>
      </c>
      <c r="Q23" s="41">
        <v>11510.43</v>
      </c>
      <c r="R23" s="41">
        <v>11510.43</v>
      </c>
      <c r="S23" s="41">
        <f t="shared" si="10"/>
        <v>23020.86</v>
      </c>
      <c r="T23" s="41">
        <v>11506.5</v>
      </c>
      <c r="U23" s="41">
        <v>11506.5</v>
      </c>
      <c r="V23" s="41">
        <v>11506.5</v>
      </c>
      <c r="W23" s="41">
        <f t="shared" si="11"/>
        <v>34519.5</v>
      </c>
      <c r="X23" s="41">
        <v>7671</v>
      </c>
      <c r="Y23" s="41">
        <v>7671</v>
      </c>
      <c r="Z23" s="41">
        <f t="shared" si="0"/>
        <v>7671.010000000002</v>
      </c>
      <c r="AA23" s="41">
        <f t="shared" si="1"/>
        <v>23013.010000000002</v>
      </c>
      <c r="AB23" s="41">
        <f t="shared" si="2"/>
        <v>80553.37</v>
      </c>
      <c r="AC23" s="38"/>
    </row>
    <row r="24" spans="1:29" s="19" customFormat="1" ht="37.5" customHeight="1">
      <c r="A24" s="2">
        <v>16</v>
      </c>
      <c r="B24" s="36" t="s">
        <v>3</v>
      </c>
      <c r="C24" s="1">
        <v>56</v>
      </c>
      <c r="D24" s="1">
        <v>20</v>
      </c>
      <c r="E24" s="1">
        <v>17.5</v>
      </c>
      <c r="F24" s="18">
        <f t="shared" si="14"/>
        <v>0.875</v>
      </c>
      <c r="G24" s="18">
        <f>F24*C24</f>
        <v>49</v>
      </c>
      <c r="H24" s="1">
        <v>40</v>
      </c>
      <c r="I24" s="1">
        <v>0</v>
      </c>
      <c r="J24" s="18">
        <f t="shared" si="12"/>
        <v>89</v>
      </c>
      <c r="K24" s="1">
        <f>42.5+2.86</f>
        <v>45.36</v>
      </c>
      <c r="L24" s="18">
        <f t="shared" si="5"/>
        <v>134.36</v>
      </c>
      <c r="M24" s="18">
        <f t="shared" si="6"/>
        <v>13576.037218383986</v>
      </c>
      <c r="N24" s="18">
        <f t="shared" si="7"/>
        <v>20668.56852370188</v>
      </c>
      <c r="O24" s="18">
        <f t="shared" si="8"/>
        <v>34244.60574208587</v>
      </c>
      <c r="P24" s="18">
        <f t="shared" si="9"/>
        <v>34244.61</v>
      </c>
      <c r="Q24" s="41">
        <v>4893.28</v>
      </c>
      <c r="R24" s="41">
        <v>4893.28</v>
      </c>
      <c r="S24" s="41">
        <f t="shared" si="10"/>
        <v>9786.56</v>
      </c>
      <c r="T24" s="41">
        <v>4891.61</v>
      </c>
      <c r="U24" s="41">
        <v>4891.61</v>
      </c>
      <c r="V24" s="41">
        <v>4891.61</v>
      </c>
      <c r="W24" s="41">
        <f t="shared" si="11"/>
        <v>14674.829999999998</v>
      </c>
      <c r="X24" s="41">
        <v>3261.07</v>
      </c>
      <c r="Y24" s="41">
        <v>3261.07</v>
      </c>
      <c r="Z24" s="41">
        <f t="shared" si="0"/>
        <v>3261.0800000000013</v>
      </c>
      <c r="AA24" s="41">
        <f t="shared" si="1"/>
        <v>9783.220000000001</v>
      </c>
      <c r="AB24" s="41">
        <f t="shared" si="2"/>
        <v>34244.61</v>
      </c>
      <c r="AC24" s="38"/>
    </row>
    <row r="25" spans="1:29" s="19" customFormat="1" ht="30.75" customHeight="1">
      <c r="A25" s="2">
        <v>17</v>
      </c>
      <c r="B25" s="36" t="s">
        <v>21</v>
      </c>
      <c r="C25" s="1">
        <v>298</v>
      </c>
      <c r="D25" s="1">
        <v>85</v>
      </c>
      <c r="E25" s="1">
        <v>85</v>
      </c>
      <c r="F25" s="18">
        <f t="shared" si="14"/>
        <v>1</v>
      </c>
      <c r="G25" s="18">
        <f>F25*C25</f>
        <v>298</v>
      </c>
      <c r="H25" s="1">
        <f>300-60</f>
        <v>240</v>
      </c>
      <c r="I25" s="1">
        <v>40</v>
      </c>
      <c r="J25" s="18">
        <f t="shared" si="12"/>
        <v>578</v>
      </c>
      <c r="K25" s="1">
        <f>155+2</f>
        <v>157</v>
      </c>
      <c r="L25" s="18">
        <f>J25+K25</f>
        <v>735</v>
      </c>
      <c r="M25" s="18">
        <f t="shared" si="6"/>
        <v>88167.97204748252</v>
      </c>
      <c r="N25" s="18">
        <f t="shared" si="7"/>
        <v>71538.03479323622</v>
      </c>
      <c r="O25" s="18">
        <f t="shared" si="8"/>
        <v>159706.00684071874</v>
      </c>
      <c r="P25" s="18">
        <f t="shared" si="9"/>
        <v>159706.01</v>
      </c>
      <c r="Q25" s="41">
        <v>22820.7</v>
      </c>
      <c r="R25" s="41">
        <v>22820.7</v>
      </c>
      <c r="S25" s="41">
        <f t="shared" si="10"/>
        <v>45641.4</v>
      </c>
      <c r="T25" s="41">
        <v>22812.92</v>
      </c>
      <c r="U25" s="41">
        <v>22812.92</v>
      </c>
      <c r="V25" s="41">
        <v>22812.92</v>
      </c>
      <c r="W25" s="41">
        <f t="shared" si="11"/>
        <v>68438.76</v>
      </c>
      <c r="X25" s="41">
        <v>15208.61</v>
      </c>
      <c r="Y25" s="41">
        <v>15208.61</v>
      </c>
      <c r="Z25" s="41">
        <f t="shared" si="0"/>
        <v>15208.630000000005</v>
      </c>
      <c r="AA25" s="41">
        <f t="shared" si="1"/>
        <v>45625.850000000006</v>
      </c>
      <c r="AB25" s="41">
        <f t="shared" si="2"/>
        <v>159706.01</v>
      </c>
      <c r="AC25" s="38"/>
    </row>
    <row r="26" spans="1:29" s="19" customFormat="1" ht="24.75" customHeight="1">
      <c r="A26" s="2">
        <v>18</v>
      </c>
      <c r="B26" s="36" t="s">
        <v>26</v>
      </c>
      <c r="C26" s="1">
        <v>120</v>
      </c>
      <c r="D26" s="1">
        <v>28</v>
      </c>
      <c r="E26" s="1">
        <v>42.5</v>
      </c>
      <c r="F26" s="18">
        <f t="shared" si="14"/>
        <v>1.5178571428571428</v>
      </c>
      <c r="G26" s="18">
        <f>C26</f>
        <v>120</v>
      </c>
      <c r="H26" s="1">
        <f>40+20</f>
        <v>60</v>
      </c>
      <c r="I26" s="1">
        <v>0</v>
      </c>
      <c r="J26" s="18">
        <f>G26+H26+I26</f>
        <v>180</v>
      </c>
      <c r="K26" s="1">
        <f>110+4.29</f>
        <v>114.29</v>
      </c>
      <c r="L26" s="18">
        <f>J26+K26</f>
        <v>294.29</v>
      </c>
      <c r="M26" s="18">
        <f t="shared" si="6"/>
        <v>27457.153924821545</v>
      </c>
      <c r="N26" s="18">
        <f t="shared" si="7"/>
        <v>52076.955391840565</v>
      </c>
      <c r="O26" s="18">
        <f t="shared" si="8"/>
        <v>79534.10931666211</v>
      </c>
      <c r="P26" s="18">
        <f t="shared" si="9"/>
        <v>79534.11</v>
      </c>
      <c r="Q26" s="41">
        <v>11364.78</v>
      </c>
      <c r="R26" s="41">
        <v>11364.78</v>
      </c>
      <c r="S26" s="41">
        <f t="shared" si="10"/>
        <v>22729.56</v>
      </c>
      <c r="T26" s="41">
        <v>11360.91</v>
      </c>
      <c r="U26" s="41">
        <v>11360.91</v>
      </c>
      <c r="V26" s="41">
        <v>11360.91</v>
      </c>
      <c r="W26" s="41">
        <f t="shared" si="11"/>
        <v>34082.729999999996</v>
      </c>
      <c r="X26" s="41">
        <v>7573.94</v>
      </c>
      <c r="Y26" s="41">
        <v>7573.94</v>
      </c>
      <c r="Z26" s="41">
        <f t="shared" si="0"/>
        <v>7573.939999999998</v>
      </c>
      <c r="AA26" s="41">
        <f t="shared" si="1"/>
        <v>22721.819999999996</v>
      </c>
      <c r="AB26" s="41">
        <f t="shared" si="2"/>
        <v>79534.11000000002</v>
      </c>
      <c r="AC26" s="38"/>
    </row>
    <row r="27" spans="1:29" s="19" customFormat="1" ht="24.75" customHeight="1">
      <c r="A27" s="2">
        <v>19</v>
      </c>
      <c r="B27" s="36" t="s">
        <v>28</v>
      </c>
      <c r="C27" s="1">
        <v>75</v>
      </c>
      <c r="D27" s="1">
        <v>24</v>
      </c>
      <c r="E27" s="1">
        <v>21.5</v>
      </c>
      <c r="F27" s="18">
        <f t="shared" si="14"/>
        <v>0.8958333333333334</v>
      </c>
      <c r="G27" s="18">
        <f>C27*F27</f>
        <v>67.1875</v>
      </c>
      <c r="H27" s="1">
        <v>40</v>
      </c>
      <c r="I27" s="1">
        <v>0</v>
      </c>
      <c r="J27" s="18">
        <f>G27+H27+I27</f>
        <v>107.1875</v>
      </c>
      <c r="K27" s="1">
        <f>52.86+2</f>
        <v>54.86</v>
      </c>
      <c r="L27" s="18">
        <f>J27+K27</f>
        <v>162.0475</v>
      </c>
      <c r="M27" s="18">
        <f t="shared" si="6"/>
        <v>16350.353812871164</v>
      </c>
      <c r="N27" s="18">
        <f t="shared" si="7"/>
        <v>24997.303113101523</v>
      </c>
      <c r="O27" s="18">
        <f t="shared" si="8"/>
        <v>41347.65692597269</v>
      </c>
      <c r="P27" s="18">
        <f t="shared" si="9"/>
        <v>41347.66</v>
      </c>
      <c r="Q27" s="41">
        <v>5908.25</v>
      </c>
      <c r="R27" s="41">
        <v>5908.25</v>
      </c>
      <c r="S27" s="41">
        <f t="shared" si="10"/>
        <v>11816.5</v>
      </c>
      <c r="T27" s="41">
        <v>5906.23</v>
      </c>
      <c r="U27" s="41">
        <v>5906.23</v>
      </c>
      <c r="V27" s="41">
        <v>5906.23</v>
      </c>
      <c r="W27" s="41">
        <f t="shared" si="11"/>
        <v>17718.69</v>
      </c>
      <c r="X27" s="41">
        <v>3937.49</v>
      </c>
      <c r="Y27" s="41">
        <v>3937.49</v>
      </c>
      <c r="Z27" s="41">
        <f t="shared" si="0"/>
        <v>3937.4900000000052</v>
      </c>
      <c r="AA27" s="41">
        <f t="shared" si="1"/>
        <v>11812.470000000005</v>
      </c>
      <c r="AB27" s="41">
        <f t="shared" si="2"/>
        <v>41347.66</v>
      </c>
      <c r="AC27" s="38"/>
    </row>
    <row r="28" spans="1:29" s="19" customFormat="1" ht="24.75" customHeight="1">
      <c r="A28" s="2">
        <v>20</v>
      </c>
      <c r="B28" s="36" t="s">
        <v>32</v>
      </c>
      <c r="C28" s="1">
        <v>140</v>
      </c>
      <c r="D28" s="1">
        <v>38</v>
      </c>
      <c r="E28" s="1">
        <v>42.5</v>
      </c>
      <c r="F28" s="18">
        <f t="shared" si="14"/>
        <v>1.118421052631579</v>
      </c>
      <c r="G28" s="18">
        <f>C28</f>
        <v>140</v>
      </c>
      <c r="H28" s="1">
        <v>40</v>
      </c>
      <c r="I28" s="1">
        <v>0</v>
      </c>
      <c r="J28" s="18">
        <f>G28+H28+I28</f>
        <v>180</v>
      </c>
      <c r="K28" s="1">
        <f>80+2</f>
        <v>82</v>
      </c>
      <c r="L28" s="18">
        <f>J28+K28</f>
        <v>262</v>
      </c>
      <c r="M28" s="18">
        <f t="shared" si="6"/>
        <v>27457.153924821545</v>
      </c>
      <c r="N28" s="18">
        <f t="shared" si="7"/>
        <v>37363.814350607456</v>
      </c>
      <c r="O28" s="18">
        <f t="shared" si="8"/>
        <v>64820.968275429</v>
      </c>
      <c r="P28" s="18">
        <f t="shared" si="9"/>
        <v>64820.97</v>
      </c>
      <c r="Q28" s="41">
        <v>9262.39</v>
      </c>
      <c r="R28" s="41">
        <v>9262.39</v>
      </c>
      <c r="S28" s="41">
        <f t="shared" si="10"/>
        <v>18524.78</v>
      </c>
      <c r="T28" s="41">
        <v>9259.24</v>
      </c>
      <c r="U28" s="41">
        <v>9259.24</v>
      </c>
      <c r="V28" s="41">
        <v>9259.24</v>
      </c>
      <c r="W28" s="41">
        <f t="shared" si="11"/>
        <v>27777.72</v>
      </c>
      <c r="X28" s="41">
        <v>6172.82</v>
      </c>
      <c r="Y28" s="41">
        <v>6172.82</v>
      </c>
      <c r="Z28" s="41">
        <f t="shared" si="0"/>
        <v>6172.830000000009</v>
      </c>
      <c r="AA28" s="41">
        <f t="shared" si="1"/>
        <v>18518.47000000001</v>
      </c>
      <c r="AB28" s="41">
        <f t="shared" si="2"/>
        <v>64820.97</v>
      </c>
      <c r="AC28" s="38"/>
    </row>
    <row r="29" spans="1:29" s="19" customFormat="1" ht="24.75" customHeight="1">
      <c r="A29" s="2">
        <v>21</v>
      </c>
      <c r="B29" s="36" t="s">
        <v>33</v>
      </c>
      <c r="C29" s="1">
        <v>145</v>
      </c>
      <c r="D29" s="1">
        <v>36</v>
      </c>
      <c r="E29" s="1">
        <v>77.5</v>
      </c>
      <c r="F29" s="18">
        <f>E29/D29</f>
        <v>2.1527777777777777</v>
      </c>
      <c r="G29" s="18">
        <f>C29</f>
        <v>145</v>
      </c>
      <c r="H29" s="1">
        <f>60-20</f>
        <v>40</v>
      </c>
      <c r="I29" s="1">
        <v>0</v>
      </c>
      <c r="J29" s="18">
        <f>I29+H29+G29</f>
        <v>185</v>
      </c>
      <c r="K29" s="1">
        <f>145+2</f>
        <v>147</v>
      </c>
      <c r="L29" s="18">
        <f>J29+K29</f>
        <v>332</v>
      </c>
      <c r="M29" s="18">
        <f t="shared" si="6"/>
        <v>28219.852644955477</v>
      </c>
      <c r="N29" s="18">
        <f t="shared" si="7"/>
        <v>66981.47206755239</v>
      </c>
      <c r="O29" s="18">
        <f t="shared" si="8"/>
        <v>95201.32471250786</v>
      </c>
      <c r="P29" s="18">
        <f t="shared" si="9"/>
        <v>95201.32</v>
      </c>
      <c r="Q29" s="41">
        <v>13603.5</v>
      </c>
      <c r="R29" s="41">
        <v>13603.5</v>
      </c>
      <c r="S29" s="41">
        <f t="shared" si="10"/>
        <v>27207</v>
      </c>
      <c r="T29" s="41">
        <v>13598.86</v>
      </c>
      <c r="U29" s="41">
        <v>13598.86</v>
      </c>
      <c r="V29" s="41">
        <v>13598.86</v>
      </c>
      <c r="W29" s="41">
        <f t="shared" si="11"/>
        <v>40796.58</v>
      </c>
      <c r="X29" s="41">
        <v>9065.91</v>
      </c>
      <c r="Y29" s="41">
        <v>9065.91</v>
      </c>
      <c r="Z29" s="41">
        <f t="shared" si="0"/>
        <v>9065.920000000006</v>
      </c>
      <c r="AA29" s="41">
        <f t="shared" si="1"/>
        <v>27197.740000000005</v>
      </c>
      <c r="AB29" s="41">
        <f t="shared" si="2"/>
        <v>95201.32</v>
      </c>
      <c r="AC29" s="38"/>
    </row>
    <row r="30" spans="1:29" s="19" customFormat="1" ht="33.75" customHeight="1">
      <c r="A30" s="2">
        <v>22</v>
      </c>
      <c r="B30" s="36" t="s">
        <v>35</v>
      </c>
      <c r="C30" s="1">
        <v>130</v>
      </c>
      <c r="D30" s="1">
        <v>42</v>
      </c>
      <c r="E30" s="1">
        <v>35</v>
      </c>
      <c r="F30" s="18">
        <f>E30/D30</f>
        <v>0.8333333333333334</v>
      </c>
      <c r="G30" s="18">
        <f>C30*F30</f>
        <v>108.33333333333334</v>
      </c>
      <c r="H30" s="1">
        <v>60</v>
      </c>
      <c r="I30" s="1">
        <v>0</v>
      </c>
      <c r="J30" s="18">
        <f>G30+H30+I30</f>
        <v>168.33333333333334</v>
      </c>
      <c r="K30" s="1">
        <f>80+3.93</f>
        <v>83.93</v>
      </c>
      <c r="L30" s="18">
        <f t="shared" si="5"/>
        <v>252.26333333333335</v>
      </c>
      <c r="M30" s="18">
        <f t="shared" si="6"/>
        <v>25677.523577842374</v>
      </c>
      <c r="N30" s="18">
        <f t="shared" si="7"/>
        <v>38243.23095666444</v>
      </c>
      <c r="O30" s="18">
        <f t="shared" si="8"/>
        <v>63920.754534506814</v>
      </c>
      <c r="P30" s="18">
        <f t="shared" si="9"/>
        <v>63920.75</v>
      </c>
      <c r="Q30" s="41">
        <v>9133.76</v>
      </c>
      <c r="R30" s="41">
        <v>9133.76</v>
      </c>
      <c r="S30" s="41">
        <f t="shared" si="10"/>
        <v>18267.52</v>
      </c>
      <c r="T30" s="41">
        <v>9130.65</v>
      </c>
      <c r="U30" s="41">
        <v>9130.65</v>
      </c>
      <c r="V30" s="41">
        <v>9130.65</v>
      </c>
      <c r="W30" s="41">
        <f t="shared" si="11"/>
        <v>27391.949999999997</v>
      </c>
      <c r="X30" s="41">
        <v>6087.1</v>
      </c>
      <c r="Y30" s="41">
        <v>6087.1</v>
      </c>
      <c r="Z30" s="41">
        <f t="shared" si="0"/>
        <v>6087.079999999991</v>
      </c>
      <c r="AA30" s="41">
        <f t="shared" si="1"/>
        <v>18261.27999999999</v>
      </c>
      <c r="AB30" s="41">
        <f t="shared" si="2"/>
        <v>63920.749999999985</v>
      </c>
      <c r="AC30" s="38"/>
    </row>
    <row r="31" spans="1:29" s="19" customFormat="1" ht="78" customHeight="1">
      <c r="A31" s="2">
        <v>23</v>
      </c>
      <c r="B31" s="36" t="s">
        <v>18</v>
      </c>
      <c r="C31" s="1">
        <v>266</v>
      </c>
      <c r="D31" s="1">
        <v>88</v>
      </c>
      <c r="E31" s="1">
        <v>124.5</v>
      </c>
      <c r="F31" s="18">
        <f t="shared" si="14"/>
        <v>1.4147727272727273</v>
      </c>
      <c r="G31" s="18">
        <f>C31</f>
        <v>266</v>
      </c>
      <c r="H31" s="1">
        <v>60</v>
      </c>
      <c r="I31" s="1">
        <v>40</v>
      </c>
      <c r="J31" s="18">
        <f>G31+H31+I31</f>
        <v>366</v>
      </c>
      <c r="K31" s="1">
        <f>185+2.86</f>
        <v>187.86</v>
      </c>
      <c r="L31" s="18">
        <f t="shared" si="5"/>
        <v>553.86</v>
      </c>
      <c r="M31" s="18">
        <f t="shared" si="6"/>
        <v>55829.54631380381</v>
      </c>
      <c r="N31" s="18">
        <f t="shared" si="7"/>
        <v>85599.58736469655</v>
      </c>
      <c r="O31" s="18">
        <f t="shared" si="8"/>
        <v>141429.13367850037</v>
      </c>
      <c r="P31" s="18">
        <v>141429.14</v>
      </c>
      <c r="Q31" s="41">
        <v>20209.08</v>
      </c>
      <c r="R31" s="41">
        <v>20209.08</v>
      </c>
      <c r="S31" s="41">
        <f t="shared" si="10"/>
        <v>40418.16</v>
      </c>
      <c r="T31" s="41">
        <v>20202.21</v>
      </c>
      <c r="U31" s="41">
        <v>20202.21</v>
      </c>
      <c r="V31" s="41">
        <v>20202.21</v>
      </c>
      <c r="W31" s="41">
        <f t="shared" si="11"/>
        <v>60606.63</v>
      </c>
      <c r="X31" s="41">
        <v>13468.13</v>
      </c>
      <c r="Y31" s="41">
        <v>13468.13</v>
      </c>
      <c r="Z31" s="41">
        <f t="shared" si="0"/>
        <v>13468.090000000024</v>
      </c>
      <c r="AA31" s="41">
        <f t="shared" si="1"/>
        <v>40404.35000000002</v>
      </c>
      <c r="AB31" s="41">
        <f t="shared" si="2"/>
        <v>141429.14000000004</v>
      </c>
      <c r="AC31" s="38"/>
    </row>
    <row r="32" spans="1:29" s="19" customFormat="1" ht="27.75" customHeight="1">
      <c r="A32" s="2"/>
      <c r="B32" s="36" t="s">
        <v>6</v>
      </c>
      <c r="C32" s="18">
        <f>SUM(C7:C31)</f>
        <v>3366</v>
      </c>
      <c r="D32" s="18">
        <f>SUM(D7:D31)</f>
        <v>1027</v>
      </c>
      <c r="E32" s="18">
        <f>SUM(E7:E31)</f>
        <v>1259.21</v>
      </c>
      <c r="F32" s="18"/>
      <c r="G32" s="18">
        <f>SUM(G7:G31)</f>
        <v>3214.14417773752</v>
      </c>
      <c r="H32" s="1">
        <f>SUM(H7:H31)</f>
        <v>1310</v>
      </c>
      <c r="I32" s="1">
        <f>SUM(I8:I31)</f>
        <v>136</v>
      </c>
      <c r="J32" s="18">
        <f aca="true" t="shared" si="15" ref="J32:O32">SUM(J7:J31)</f>
        <v>4660.144177737519</v>
      </c>
      <c r="K32" s="18">
        <f t="shared" si="15"/>
        <v>2340.1099999999997</v>
      </c>
      <c r="L32" s="18">
        <f t="shared" si="15"/>
        <v>7000.254177737519</v>
      </c>
      <c r="M32" s="18">
        <f t="shared" si="15"/>
        <v>710857.2000000001</v>
      </c>
      <c r="N32" s="18">
        <f t="shared" si="15"/>
        <v>1066285.7999999998</v>
      </c>
      <c r="O32" s="18">
        <f t="shared" si="15"/>
        <v>1777143.0000000005</v>
      </c>
      <c r="P32" s="18">
        <f aca="true" t="shared" si="16" ref="P32:Y32">SUM(P7:P31)</f>
        <v>1777143</v>
      </c>
      <c r="Q32" s="41">
        <f t="shared" si="16"/>
        <v>253939.40000000002</v>
      </c>
      <c r="R32" s="41">
        <f t="shared" si="16"/>
        <v>253939.40000000002</v>
      </c>
      <c r="S32" s="41">
        <f t="shared" si="16"/>
        <v>507878.80000000005</v>
      </c>
      <c r="T32" s="41">
        <f t="shared" si="16"/>
        <v>253852.83999999997</v>
      </c>
      <c r="U32" s="41">
        <f t="shared" si="16"/>
        <v>253852.83999999997</v>
      </c>
      <c r="V32" s="41">
        <f t="shared" si="16"/>
        <v>253852.83999999997</v>
      </c>
      <c r="W32" s="41">
        <f t="shared" si="16"/>
        <v>761558.5199999999</v>
      </c>
      <c r="X32" s="41">
        <f t="shared" si="16"/>
        <v>169235.23000000004</v>
      </c>
      <c r="Y32" s="41">
        <f t="shared" si="16"/>
        <v>169235.23000000004</v>
      </c>
      <c r="Z32" s="41">
        <f>SUM(Z8:Z31)</f>
        <v>169235.2200000001</v>
      </c>
      <c r="AA32" s="41">
        <f>SUM(AA7:AA31)</f>
        <v>507705.6800000001</v>
      </c>
      <c r="AB32" s="41">
        <f>SUM(AB7:AB31)</f>
        <v>1777143</v>
      </c>
      <c r="AC32" s="38"/>
    </row>
    <row r="33" spans="1:29" s="19" customFormat="1" ht="46.5" customHeight="1">
      <c r="A33" s="4"/>
      <c r="B33" s="22" t="s">
        <v>40</v>
      </c>
      <c r="C33" s="23">
        <v>3113000</v>
      </c>
      <c r="D33" s="5"/>
      <c r="E33" s="5"/>
      <c r="F33" s="5"/>
      <c r="G33" s="25"/>
      <c r="H33" s="4"/>
      <c r="I33" s="4"/>
      <c r="J33" s="5"/>
      <c r="K33" s="5"/>
      <c r="L33" s="5"/>
      <c r="M33" s="5"/>
      <c r="N33" s="5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9"/>
      <c r="AB33" s="9"/>
      <c r="AC33" s="38"/>
    </row>
    <row r="34" spans="1:29" s="19" customFormat="1" ht="47.25" customHeight="1">
      <c r="A34" s="4"/>
      <c r="B34" s="22" t="s">
        <v>48</v>
      </c>
      <c r="C34" s="23">
        <v>1131807</v>
      </c>
      <c r="D34" s="5"/>
      <c r="E34" s="5"/>
      <c r="F34" s="5"/>
      <c r="G34" s="25"/>
      <c r="H34" s="4"/>
      <c r="I34" s="4"/>
      <c r="J34" s="5"/>
      <c r="K34" s="5"/>
      <c r="L34" s="5"/>
      <c r="M34" s="5"/>
      <c r="N34" s="5"/>
      <c r="O34" s="5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38"/>
    </row>
    <row r="35" spans="1:28" s="19" customFormat="1" ht="49.5" customHeight="1">
      <c r="A35" s="4"/>
      <c r="B35" s="32" t="s">
        <v>49</v>
      </c>
      <c r="C35" s="23">
        <f>C33-C34</f>
        <v>1981193</v>
      </c>
      <c r="D35" s="5"/>
      <c r="E35" s="5"/>
      <c r="F35" s="5"/>
      <c r="G35" s="25"/>
      <c r="H35" s="4"/>
      <c r="I35" s="4"/>
      <c r="J35" s="5"/>
      <c r="K35" s="5"/>
      <c r="L35" s="5"/>
      <c r="M35" s="5"/>
      <c r="N35" s="5"/>
      <c r="O35" s="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9" customFormat="1" ht="19.5" customHeight="1">
      <c r="A36" s="4"/>
      <c r="B36" s="22"/>
      <c r="C36" s="23"/>
      <c r="D36" s="29"/>
      <c r="E36" s="5"/>
      <c r="F36" s="5"/>
      <c r="G36" s="5"/>
      <c r="H36" s="4"/>
      <c r="I36" s="4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7" s="19" customFormat="1" ht="32.25" customHeight="1">
      <c r="A37" s="4"/>
      <c r="B37" s="22" t="s">
        <v>38</v>
      </c>
      <c r="C37" s="31" t="s">
        <v>39</v>
      </c>
      <c r="D37" s="29"/>
      <c r="E37" s="5"/>
      <c r="F37" s="5"/>
      <c r="G37" s="5"/>
      <c r="H37" s="4"/>
      <c r="I37" s="4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19" customFormat="1" ht="45.75" customHeight="1">
      <c r="A38" s="4">
        <v>1</v>
      </c>
      <c r="B38" s="39" t="s">
        <v>50</v>
      </c>
      <c r="C38" s="23">
        <f>C33*10.3%</f>
        <v>320639</v>
      </c>
      <c r="D38" s="29"/>
      <c r="E38" s="5"/>
      <c r="F38" s="5"/>
      <c r="G38" s="5"/>
      <c r="H38" s="4"/>
      <c r="I38" s="4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19" customFormat="1" ht="30" customHeight="1">
      <c r="A39" s="4"/>
      <c r="B39" s="39" t="s">
        <v>51</v>
      </c>
      <c r="C39" s="23">
        <v>116589</v>
      </c>
      <c r="D39" s="29"/>
      <c r="E39" s="5"/>
      <c r="F39" s="5"/>
      <c r="G39" s="5"/>
      <c r="H39" s="4"/>
      <c r="I39" s="4"/>
      <c r="J39" s="5"/>
      <c r="K39" s="5"/>
      <c r="L39" s="5"/>
      <c r="M39" s="5"/>
      <c r="N39" s="5"/>
      <c r="O39" s="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s="19" customFormat="1" ht="36.75" customHeight="1">
      <c r="A40" s="4"/>
      <c r="B40" s="39" t="s">
        <v>52</v>
      </c>
      <c r="C40" s="23">
        <f>C38-C39</f>
        <v>204050</v>
      </c>
      <c r="D40" s="29"/>
      <c r="E40" s="5"/>
      <c r="F40" s="5"/>
      <c r="G40" s="5"/>
      <c r="H40" s="4"/>
      <c r="I40" s="4"/>
      <c r="J40" s="5"/>
      <c r="K40" s="5"/>
      <c r="L40" s="5"/>
      <c r="M40" s="5"/>
      <c r="N40" s="5"/>
      <c r="O40" s="5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15" s="19" customFormat="1" ht="20.25" customHeight="1">
      <c r="A41" s="4"/>
      <c r="B41" s="30"/>
      <c r="C41" s="23"/>
      <c r="D41" s="29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s="19" customFormat="1" ht="34.5" customHeight="1">
      <c r="A42" s="4">
        <v>2</v>
      </c>
      <c r="B42" s="22" t="s">
        <v>53</v>
      </c>
      <c r="C42" s="23">
        <f>C33-C38</f>
        <v>2792361</v>
      </c>
      <c r="D42" s="29"/>
      <c r="E42" s="5"/>
      <c r="F42" s="5"/>
      <c r="G42" s="5"/>
      <c r="H42" s="4"/>
      <c r="I42" s="4"/>
      <c r="J42" s="5"/>
      <c r="K42" s="5"/>
      <c r="L42" s="5"/>
      <c r="M42" s="5"/>
      <c r="N42" s="5"/>
      <c r="O42" s="5"/>
    </row>
    <row r="43" spans="1:13" s="19" customFormat="1" ht="40.5" customHeight="1">
      <c r="A43" s="4"/>
      <c r="B43" s="39" t="s">
        <v>67</v>
      </c>
      <c r="C43" s="3">
        <v>1015218</v>
      </c>
      <c r="D43" s="38"/>
      <c r="E43" s="26"/>
      <c r="F43" s="20"/>
      <c r="K43" s="15"/>
      <c r="M43" s="15"/>
    </row>
    <row r="44" spans="1:13" s="19" customFormat="1" ht="32.25" customHeight="1">
      <c r="A44" s="4"/>
      <c r="B44" s="39" t="s">
        <v>54</v>
      </c>
      <c r="C44" s="3">
        <f>C42-C43</f>
        <v>1777143</v>
      </c>
      <c r="D44" s="38"/>
      <c r="E44" s="26"/>
      <c r="F44" s="20"/>
      <c r="K44" s="15"/>
      <c r="M44" s="15"/>
    </row>
    <row r="45" spans="1:13" s="19" customFormat="1" ht="18" customHeight="1">
      <c r="A45" s="4"/>
      <c r="B45" s="22"/>
      <c r="C45" s="3"/>
      <c r="D45" s="38"/>
      <c r="E45" s="26"/>
      <c r="F45" s="20"/>
      <c r="G45" s="10"/>
      <c r="K45" s="15"/>
      <c r="L45" s="15"/>
      <c r="M45" s="15"/>
    </row>
    <row r="46" spans="1:14" s="19" customFormat="1" ht="22.5" customHeight="1">
      <c r="A46" s="4"/>
      <c r="B46" s="11" t="s">
        <v>43</v>
      </c>
      <c r="D46" s="3">
        <f>C44*40%</f>
        <v>710857.2000000001</v>
      </c>
      <c r="E46" s="12"/>
      <c r="F46" s="7"/>
      <c r="G46" s="10"/>
      <c r="K46" s="10"/>
      <c r="M46" s="10"/>
      <c r="N46" s="10"/>
    </row>
    <row r="47" spans="1:14" s="19" customFormat="1" ht="24" customHeight="1">
      <c r="A47" s="4"/>
      <c r="B47" s="11" t="s">
        <v>68</v>
      </c>
      <c r="D47" s="13">
        <f>D46/J32</f>
        <v>152.53974402678637</v>
      </c>
      <c r="E47" s="12"/>
      <c r="K47" s="10"/>
      <c r="M47" s="10"/>
      <c r="N47" s="10"/>
    </row>
    <row r="48" spans="1:16" s="19" customFormat="1" ht="21" customHeight="1">
      <c r="A48" s="4"/>
      <c r="B48" s="11" t="s">
        <v>44</v>
      </c>
      <c r="D48" s="3">
        <f>C44*60%</f>
        <v>1066285.8</v>
      </c>
      <c r="E48" s="14"/>
      <c r="G48" s="38"/>
      <c r="K48" s="10"/>
      <c r="M48" s="10"/>
      <c r="N48" s="33"/>
      <c r="P48" s="44"/>
    </row>
    <row r="49" spans="1:16" s="19" customFormat="1" ht="18.75" customHeight="1">
      <c r="A49" s="4"/>
      <c r="B49" s="11" t="s">
        <v>69</v>
      </c>
      <c r="D49" s="13">
        <f>D48/K32</f>
        <v>455.6562725683836</v>
      </c>
      <c r="E49" s="14"/>
      <c r="F49" s="8"/>
      <c r="K49" s="9"/>
      <c r="L49" s="10"/>
      <c r="P49" s="44"/>
    </row>
    <row r="50" spans="1:6" s="19" customFormat="1" ht="19.5" customHeight="1">
      <c r="A50" s="11"/>
      <c r="B50" s="11"/>
      <c r="D50" s="13"/>
      <c r="E50" s="14"/>
      <c r="F50" s="8"/>
    </row>
    <row r="51" ht="14.25">
      <c r="A51" s="19"/>
    </row>
    <row r="55" spans="1:5" s="19" customFormat="1" ht="15.75">
      <c r="A55" s="6"/>
      <c r="B55" s="37"/>
      <c r="C55" s="15"/>
      <c r="D55" s="15"/>
      <c r="E55" s="15"/>
    </row>
    <row r="56" spans="2:6" s="19" customFormat="1" ht="15.75">
      <c r="B56" s="37"/>
      <c r="C56" s="10"/>
      <c r="E56" s="10"/>
      <c r="F56" s="10"/>
    </row>
    <row r="57" spans="2:6" s="19" customFormat="1" ht="15.75">
      <c r="B57" s="34"/>
      <c r="C57" s="10"/>
      <c r="E57" s="10"/>
      <c r="F57" s="10"/>
    </row>
    <row r="58" spans="2:6" s="19" customFormat="1" ht="15.75">
      <c r="B58" s="34"/>
      <c r="C58" s="10"/>
      <c r="E58" s="10"/>
      <c r="F58" s="10"/>
    </row>
    <row r="59" spans="2:5" s="19" customFormat="1" ht="15.75">
      <c r="B59" s="34"/>
      <c r="C59" s="6"/>
      <c r="D59" s="9"/>
      <c r="E59" s="10"/>
    </row>
    <row r="60" ht="14.25">
      <c r="A60" s="19"/>
    </row>
  </sheetData>
  <sheetProtection/>
  <printOptions/>
  <pageMargins left="0.001" right="0.001" top="0.001" bottom="0.001" header="0.236220472440945" footer="0.15748031496063"/>
  <pageSetup horizontalDpi="600" verticalDpi="600" orientation="landscape" paperSize="9" scale="65" r:id="rId1"/>
  <headerFooter alignWithMargins="0">
    <oddFooter>&amp;C&amp;P</oddFooter>
  </headerFooter>
  <rowBreaks count="1" manualBreakCount="1">
    <brk id="24" max="27" man="1"/>
  </rowBreaks>
  <ignoredErrors>
    <ignoredError sqref="J29 I32 G30 G27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2022-05-06T08:26:03Z</cp:lastPrinted>
  <dcterms:created xsi:type="dcterms:W3CDTF">2008-04-09T11:23:43Z</dcterms:created>
  <dcterms:modified xsi:type="dcterms:W3CDTF">2022-05-24T15:52:18Z</dcterms:modified>
  <cp:category/>
  <cp:version/>
  <cp:contentType/>
  <cp:contentStatus/>
</cp:coreProperties>
</file>